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if\Desktop\"/>
    </mc:Choice>
  </mc:AlternateContent>
  <bookViews>
    <workbookView xWindow="0" yWindow="0" windowWidth="20490" windowHeight="9045" firstSheet="1" activeTab="1"/>
  </bookViews>
  <sheets>
    <sheet name="Sheet1" sheetId="7" state="hidden" r:id="rId1"/>
    <sheet name="Shipment ADV" sheetId="6" r:id="rId2"/>
    <sheet name="Used Accessory Detail" sheetId="8" state="hidden" r:id="rId3"/>
  </sheets>
  <definedNames>
    <definedName name="_xlnm._FilterDatabase" localSheetId="1" hidden="1">'Shipment ADV'!$A$2:$AL$13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10" i="6" l="1"/>
  <c r="P11" i="6"/>
  <c r="N11" i="6"/>
  <c r="K11" i="6"/>
  <c r="N10" i="6"/>
  <c r="K10" i="6"/>
  <c r="P9" i="6"/>
  <c r="N9" i="6"/>
  <c r="K9" i="6"/>
  <c r="P8" i="6"/>
  <c r="N8" i="6"/>
  <c r="K8" i="6"/>
  <c r="P7" i="6"/>
  <c r="N7" i="6"/>
  <c r="K7" i="6"/>
  <c r="R3" i="6"/>
  <c r="Q3" i="6"/>
  <c r="P6" i="6"/>
  <c r="P4" i="6"/>
  <c r="P5" i="6"/>
  <c r="N6" i="6"/>
  <c r="K6" i="6"/>
  <c r="N5" i="6"/>
  <c r="K5" i="6"/>
  <c r="N4" i="6"/>
  <c r="K4" i="6"/>
  <c r="P3" i="6"/>
  <c r="N3" i="6"/>
  <c r="K3" i="6"/>
  <c r="L5" i="6" l="1"/>
  <c r="E5" i="6"/>
  <c r="H3" i="6" l="1"/>
  <c r="O3" i="6" s="1"/>
  <c r="E3" i="6"/>
  <c r="H4" i="6"/>
  <c r="O4" i="6" s="1"/>
  <c r="E4" i="6"/>
  <c r="E6" i="6"/>
  <c r="H5" i="6"/>
  <c r="O5" i="6" s="1"/>
  <c r="H6" i="6"/>
  <c r="H7" i="6"/>
  <c r="O7" i="6" s="1"/>
  <c r="H8" i="6"/>
  <c r="H9" i="6"/>
  <c r="H10" i="6"/>
  <c r="H11" i="6"/>
  <c r="E7" i="6"/>
  <c r="L6" i="6" l="1"/>
  <c r="M6" i="6" s="1"/>
  <c r="R6" i="6" s="1"/>
  <c r="Q5" i="6"/>
  <c r="Q4" i="6"/>
  <c r="L3" i="6"/>
  <c r="M3" i="6" s="1"/>
  <c r="L4" i="6"/>
  <c r="M4" i="6" s="1"/>
  <c r="R4" i="6" s="1"/>
  <c r="O6" i="6"/>
  <c r="Q6" i="6" s="1"/>
  <c r="M5" i="6"/>
  <c r="R5" i="6" s="1"/>
  <c r="Q7" i="6"/>
  <c r="L7" i="6"/>
  <c r="M7" i="6" s="1"/>
  <c r="R7" i="6" s="1"/>
  <c r="O8" i="6"/>
  <c r="E8" i="6"/>
  <c r="L8" i="6" s="1"/>
  <c r="M8" i="6" s="1"/>
  <c r="R8" i="6" s="1"/>
  <c r="O9" i="6"/>
  <c r="O10" i="6"/>
  <c r="E9" i="6"/>
  <c r="L9" i="6" s="1"/>
  <c r="M9" i="6" s="1"/>
  <c r="R9" i="6" s="1"/>
  <c r="E10" i="6"/>
  <c r="L10" i="6" s="1"/>
  <c r="M10" i="6" s="1"/>
  <c r="R10" i="6" s="1"/>
  <c r="Q9" i="6" l="1"/>
  <c r="Q8" i="6"/>
  <c r="Q10" i="6"/>
  <c r="AE11" i="6"/>
  <c r="V11" i="8" l="1"/>
  <c r="V10" i="8"/>
  <c r="V9" i="8"/>
  <c r="O7" i="8"/>
  <c r="R7" i="8" s="1"/>
  <c r="R11" i="8"/>
  <c r="R10" i="8"/>
  <c r="R9" i="8"/>
  <c r="R8" i="8"/>
  <c r="R6" i="8"/>
  <c r="R5" i="8"/>
  <c r="R4" i="8"/>
  <c r="R3" i="8"/>
  <c r="R2" i="8"/>
  <c r="D3" i="8"/>
  <c r="G10" i="8" l="1"/>
  <c r="G9" i="8"/>
  <c r="G8" i="8"/>
  <c r="G6" i="8"/>
  <c r="G5" i="8"/>
  <c r="G4" i="8"/>
  <c r="G7" i="8" s="1"/>
  <c r="S11" i="6"/>
  <c r="T11" i="6" s="1"/>
  <c r="F13" i="7"/>
  <c r="D13" i="7"/>
  <c r="B13" i="7"/>
  <c r="F9" i="7"/>
  <c r="D9" i="7"/>
  <c r="B9" i="7"/>
  <c r="E11" i="6"/>
  <c r="G11" i="8" l="1"/>
  <c r="O11" i="6" l="1"/>
  <c r="Q11" i="6" s="1"/>
  <c r="L11" i="6"/>
  <c r="M11" i="6" s="1"/>
  <c r="AA11" i="6"/>
  <c r="AC11" i="6" s="1"/>
  <c r="V11" i="6"/>
  <c r="X11" i="6" l="1"/>
  <c r="Y11" i="6"/>
  <c r="AF11" i="6" l="1"/>
  <c r="AD11" i="6"/>
  <c r="R11" i="6"/>
  <c r="AH11" i="6" l="1"/>
  <c r="AB11" i="6" l="1"/>
  <c r="W11" i="6"/>
  <c r="AG11" i="6"/>
</calcChain>
</file>

<file path=xl/sharedStrings.xml><?xml version="1.0" encoding="utf-8"?>
<sst xmlns="http://schemas.openxmlformats.org/spreadsheetml/2006/main" count="148" uniqueCount="102">
  <si>
    <t>Color</t>
  </si>
  <si>
    <t>Size</t>
  </si>
  <si>
    <t>Pcs. Wt</t>
  </si>
  <si>
    <t>Pcs/ Ctn</t>
  </si>
  <si>
    <t>Ctn Size Cm</t>
  </si>
  <si>
    <t>Pcs/ Poly</t>
  </si>
  <si>
    <t>CBM</t>
  </si>
  <si>
    <t>Net Kgs</t>
  </si>
  <si>
    <t>Gross Kgs</t>
  </si>
  <si>
    <t>Balance Shipment</t>
  </si>
  <si>
    <t>Article Name</t>
  </si>
  <si>
    <t>GSM</t>
  </si>
  <si>
    <t>WHITE</t>
  </si>
  <si>
    <t>100x150</t>
  </si>
  <si>
    <t>Ready Ctn</t>
  </si>
  <si>
    <t>Ready Pcs</t>
  </si>
  <si>
    <t>60x100</t>
  </si>
  <si>
    <t>40x60</t>
  </si>
  <si>
    <t>Guest Towel</t>
  </si>
  <si>
    <t>Sr. #</t>
  </si>
  <si>
    <t>Net Kg's</t>
  </si>
  <si>
    <t>Average</t>
  </si>
  <si>
    <t>Diff</t>
  </si>
  <si>
    <t>1x40 HQ</t>
  </si>
  <si>
    <t>Shipment Detail</t>
  </si>
  <si>
    <t>Ship Ctn</t>
  </si>
  <si>
    <t>Ship Pcs</t>
  </si>
  <si>
    <t>Ship CBM</t>
  </si>
  <si>
    <t>Shiped%age</t>
  </si>
  <si>
    <t>From</t>
  </si>
  <si>
    <t>To</t>
  </si>
  <si>
    <t>CTN Number</t>
  </si>
  <si>
    <t>Single Lable</t>
  </si>
  <si>
    <t>Item</t>
  </si>
  <si>
    <t>Poly Bag 100x150</t>
  </si>
  <si>
    <t>Poly Bag 60x100</t>
  </si>
  <si>
    <t>Poly Bag 40x60</t>
  </si>
  <si>
    <t>Total Poly Bag</t>
  </si>
  <si>
    <t>Total Carton</t>
  </si>
  <si>
    <t>Carton 100x150</t>
  </si>
  <si>
    <t>Carton 60x100</t>
  </si>
  <si>
    <t>Carton 40x60</t>
  </si>
  <si>
    <t>Poly Bag Stickr</t>
  </si>
  <si>
    <t>Total Poly Stickr</t>
  </si>
  <si>
    <t>Shipping Marks</t>
  </si>
  <si>
    <t>Total Ship Marks</t>
  </si>
  <si>
    <t>Qty</t>
  </si>
  <si>
    <t>Accessory Used Detail</t>
  </si>
  <si>
    <t>Description</t>
  </si>
  <si>
    <t>UOM</t>
  </si>
  <si>
    <t>Purchased Qty</t>
  </si>
  <si>
    <t>Used Qty</t>
  </si>
  <si>
    <t>Leftover Qty</t>
  </si>
  <si>
    <t>Rejected Qty(If Any)</t>
  </si>
  <si>
    <t>Sewing Thread White</t>
  </si>
  <si>
    <t>Cone</t>
  </si>
  <si>
    <t>Woven Label</t>
  </si>
  <si>
    <t>Nos</t>
  </si>
  <si>
    <t>Poly Bag Sticker</t>
  </si>
  <si>
    <t>Carton Sticker</t>
  </si>
  <si>
    <t>Carton 5-Ply 77x52x36-CM</t>
  </si>
  <si>
    <t>Carton 5-Ply 62x52x40-CM</t>
  </si>
  <si>
    <t>Carton 5-Ply 62x42x53-CM</t>
  </si>
  <si>
    <t>Poly Bag 19" x 30"</t>
  </si>
  <si>
    <t>Kgs</t>
  </si>
  <si>
    <t>Poly Bag 15.5" x 37"</t>
  </si>
  <si>
    <t>Poly Bag 15" x 24"</t>
  </si>
  <si>
    <t>Waste/Damage</t>
  </si>
  <si>
    <t>Left in Hand</t>
  </si>
  <si>
    <t>Poly Act. Wt/ Pcs</t>
  </si>
  <si>
    <t>in Gram</t>
  </si>
  <si>
    <t>1xLCL</t>
  </si>
  <si>
    <t>62x42x47</t>
  </si>
  <si>
    <t>length half</t>
  </si>
  <si>
    <t>white</t>
  </si>
  <si>
    <t>Guest Towels Folding styles</t>
  </si>
  <si>
    <t>Poly/ Ctn</t>
  </si>
  <si>
    <t>60x50x36</t>
  </si>
  <si>
    <t>Length half &amp; width turn by 15cm.</t>
  </si>
  <si>
    <t>30x50</t>
  </si>
  <si>
    <t>60x40x50</t>
  </si>
  <si>
    <t>Turn 12 cm into length and then Half</t>
  </si>
  <si>
    <t>width meet both side at center &amp; then length half</t>
  </si>
  <si>
    <t>51x31x21</t>
  </si>
  <si>
    <t>poly Bag Final dimension</t>
  </si>
  <si>
    <t>40x30</t>
  </si>
  <si>
    <t>60x40x31</t>
  </si>
  <si>
    <t>40x62</t>
  </si>
  <si>
    <t>13x28</t>
  </si>
  <si>
    <t>60x40x49</t>
  </si>
  <si>
    <t>11.5x22</t>
  </si>
  <si>
    <t>Length turn by 11cm then half</t>
  </si>
  <si>
    <t>Length turn by 22 cm then half</t>
  </si>
  <si>
    <t>15x24</t>
  </si>
  <si>
    <t>60x40x35</t>
  </si>
  <si>
    <t>Length half</t>
  </si>
  <si>
    <t>15.5x25</t>
  </si>
  <si>
    <t>60x40x44</t>
  </si>
  <si>
    <t>Net. Wt/carton</t>
  </si>
  <si>
    <t>Gross. Wt/Carton</t>
  </si>
  <si>
    <t>Total Ctn</t>
  </si>
  <si>
    <t>total 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</si>
</sst>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"/>
    <numFmt numFmtId="166" formatCode="0.0%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90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" fontId="0" fillId="0" borderId="0" xfId="0" applyNumberFormat="1"/>
    <xf numFmtId="165" fontId="0" fillId="0" borderId="0" xfId="0" applyNumberFormat="1"/>
    <xf numFmtId="2" fontId="0" fillId="0" borderId="0" xfId="0" applyNumberFormat="1"/>
    <xf numFmtId="164" fontId="0" fillId="0" borderId="0" xfId="0" applyNumberFormat="1"/>
    <xf numFmtId="9" fontId="0" fillId="0" borderId="0" xfId="1" applyFont="1"/>
    <xf numFmtId="0" fontId="1" fillId="0" borderId="1" xfId="0" applyFont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" fontId="1" fillId="5" borderId="10" xfId="0" applyNumberFormat="1" applyFont="1" applyFill="1" applyBorder="1" applyAlignment="1">
      <alignment horizontal="center"/>
    </xf>
    <xf numFmtId="1" fontId="1" fillId="5" borderId="1" xfId="0" applyNumberFormat="1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166" fontId="1" fillId="5" borderId="11" xfId="1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 wrapText="1"/>
    </xf>
    <xf numFmtId="16" fontId="3" fillId="3" borderId="17" xfId="0" applyNumberFormat="1" applyFont="1" applyFill="1" applyBorder="1" applyAlignment="1">
      <alignment vertical="center"/>
    </xf>
    <xf numFmtId="1" fontId="1" fillId="0" borderId="3" xfId="0" applyNumberFormat="1" applyFont="1" applyBorder="1" applyAlignment="1">
      <alignment horizontal="center"/>
    </xf>
    <xf numFmtId="0" fontId="1" fillId="2" borderId="19" xfId="0" applyFont="1" applyFill="1" applyBorder="1" applyAlignment="1">
      <alignment horizontal="center" vertical="center" wrapText="1"/>
    </xf>
    <xf numFmtId="1" fontId="1" fillId="0" borderId="11" xfId="0" applyNumberFormat="1" applyFont="1" applyBorder="1" applyAlignment="1">
      <alignment horizontal="center"/>
    </xf>
    <xf numFmtId="1" fontId="1" fillId="0" borderId="20" xfId="0" applyNumberFormat="1" applyFont="1" applyBorder="1" applyAlignment="1">
      <alignment horizontal="center"/>
    </xf>
    <xf numFmtId="1" fontId="1" fillId="0" borderId="21" xfId="0" applyNumberFormat="1" applyFont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17" xfId="0" applyBorder="1"/>
    <xf numFmtId="0" fontId="0" fillId="0" borderId="14" xfId="0" applyBorder="1"/>
    <xf numFmtId="0" fontId="0" fillId="0" borderId="0" xfId="0" applyBorder="1"/>
    <xf numFmtId="0" fontId="1" fillId="3" borderId="0" xfId="0" applyFont="1" applyFill="1" applyBorder="1"/>
    <xf numFmtId="0" fontId="0" fillId="0" borderId="15" xfId="0" applyBorder="1"/>
    <xf numFmtId="0" fontId="1" fillId="0" borderId="0" xfId="0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0" fontId="0" fillId="3" borderId="0" xfId="0" applyFill="1" applyBorder="1"/>
    <xf numFmtId="0" fontId="0" fillId="0" borderId="0" xfId="0" applyBorder="1" applyAlignment="1">
      <alignment horizontal="right"/>
    </xf>
    <xf numFmtId="0" fontId="1" fillId="0" borderId="0" xfId="0" applyFont="1" applyBorder="1"/>
    <xf numFmtId="1" fontId="0" fillId="0" borderId="0" xfId="0" applyNumberFormat="1" applyBorder="1"/>
    <xf numFmtId="0" fontId="0" fillId="0" borderId="24" xfId="0" applyBorder="1"/>
    <xf numFmtId="0" fontId="0" fillId="0" borderId="18" xfId="0" applyBorder="1"/>
    <xf numFmtId="0" fontId="1" fillId="0" borderId="18" xfId="0" applyFont="1" applyBorder="1" applyAlignment="1">
      <alignment horizontal="right"/>
    </xf>
    <xf numFmtId="0" fontId="1" fillId="0" borderId="18" xfId="0" applyFont="1" applyBorder="1"/>
    <xf numFmtId="0" fontId="0" fillId="0" borderId="25" xfId="0" applyBorder="1"/>
    <xf numFmtId="1" fontId="1" fillId="0" borderId="10" xfId="0" applyNumberFormat="1" applyFont="1" applyBorder="1" applyAlignment="1">
      <alignment horizontal="center"/>
    </xf>
    <xf numFmtId="0" fontId="6" fillId="0" borderId="2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horizontal="right" vertical="center"/>
    </xf>
    <xf numFmtId="0" fontId="7" fillId="0" borderId="27" xfId="0" applyFont="1" applyBorder="1" applyAlignment="1">
      <alignment vertical="center"/>
    </xf>
    <xf numFmtId="0" fontId="7" fillId="0" borderId="25" xfId="0" applyFont="1" applyBorder="1" applyAlignment="1">
      <alignment vertical="center"/>
    </xf>
    <xf numFmtId="0" fontId="7" fillId="0" borderId="25" xfId="0" applyFont="1" applyBorder="1" applyAlignment="1">
      <alignment horizontal="right" vertical="center"/>
    </xf>
    <xf numFmtId="9" fontId="0" fillId="0" borderId="0" xfId="0" applyNumberFormat="1"/>
    <xf numFmtId="0" fontId="0" fillId="0" borderId="3" xfId="0" applyBorder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6" fontId="5" fillId="3" borderId="4" xfId="0" applyNumberFormat="1" applyFont="1" applyFill="1" applyBorder="1" applyAlignment="1">
      <alignment horizontal="center" vertical="center"/>
    </xf>
    <xf numFmtId="16" fontId="5" fillId="3" borderId="6" xfId="0" applyNumberFormat="1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1" fontId="0" fillId="3" borderId="14" xfId="0" applyNumberFormat="1" applyFill="1" applyBorder="1" applyAlignment="1">
      <alignment horizontal="center" wrapText="1"/>
    </xf>
    <xf numFmtId="1" fontId="0" fillId="3" borderId="0" xfId="0" applyNumberFormat="1" applyFill="1" applyBorder="1" applyAlignment="1">
      <alignment horizontal="center" wrapText="1"/>
    </xf>
    <xf numFmtId="1" fontId="0" fillId="6" borderId="14" xfId="0" applyNumberFormat="1" applyFill="1" applyBorder="1" applyAlignment="1">
      <alignment horizontal="center"/>
    </xf>
    <xf numFmtId="1" fontId="0" fillId="6" borderId="0" xfId="0" applyNumberFormat="1" applyFill="1" applyBorder="1" applyAlignment="1">
      <alignment horizontal="center"/>
    </xf>
    <xf numFmtId="1" fontId="1" fillId="7" borderId="14" xfId="0" applyNumberFormat="1" applyFont="1" applyFill="1" applyBorder="1" applyAlignment="1">
      <alignment horizontal="center"/>
    </xf>
    <xf numFmtId="1" fontId="1" fillId="7" borderId="0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" fontId="0" fillId="8" borderId="14" xfId="0" applyNumberFormat="1" applyFill="1" applyBorder="1" applyAlignment="1">
      <alignment horizontal="center"/>
    </xf>
    <xf numFmtId="1" fontId="0" fillId="8" borderId="0" xfId="0" applyNumberFormat="1" applyFill="1" applyBorder="1" applyAlignment="1">
      <alignment horizontal="center"/>
    </xf>
    <xf numFmtId="1" fontId="0" fillId="2" borderId="14" xfId="0" applyNumberFormat="1" applyFill="1" applyBorder="1" applyAlignment="1">
      <alignment horizontal="center" wrapText="1"/>
    </xf>
    <xf numFmtId="1" fontId="0" fillId="2" borderId="0" xfId="0" applyNumberForma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"/>
  <sheetViews>
    <sheetView workbookViewId="0">
      <selection activeCell="A2" sqref="A2"/>
    </sheetView>
  </sheetViews>
  <sheetFormatPr defaultRowHeight="15" x14ac:dyDescent="0.25"/>
  <cols>
    <col min="1" max="1" width="7.5703125" bestFit="1" customWidth="1"/>
    <col min="2" max="2" width="7.85546875" bestFit="1" customWidth="1"/>
    <col min="4" max="4" width="6.85546875" bestFit="1" customWidth="1"/>
    <col min="6" max="6" width="6" bestFit="1" customWidth="1"/>
  </cols>
  <sheetData>
    <row r="2" spans="1:6" x14ac:dyDescent="0.25">
      <c r="A2" t="s">
        <v>19</v>
      </c>
      <c r="B2" t="s">
        <v>13</v>
      </c>
      <c r="D2" t="s">
        <v>16</v>
      </c>
      <c r="F2" t="s">
        <v>17</v>
      </c>
    </row>
    <row r="3" spans="1:6" x14ac:dyDescent="0.25">
      <c r="A3">
        <v>1</v>
      </c>
      <c r="B3">
        <v>21.45</v>
      </c>
      <c r="D3">
        <v>19.100000000000001</v>
      </c>
      <c r="F3">
        <v>20.6</v>
      </c>
    </row>
    <row r="4" spans="1:6" x14ac:dyDescent="0.25">
      <c r="A4">
        <v>2</v>
      </c>
      <c r="B4">
        <v>21.45</v>
      </c>
      <c r="D4">
        <v>19.100000000000001</v>
      </c>
      <c r="F4">
        <v>20.6</v>
      </c>
    </row>
    <row r="5" spans="1:6" x14ac:dyDescent="0.25">
      <c r="A5">
        <v>3</v>
      </c>
      <c r="B5">
        <v>21.5</v>
      </c>
      <c r="D5">
        <v>19.2</v>
      </c>
      <c r="F5">
        <v>20.8</v>
      </c>
    </row>
    <row r="6" spans="1:6" x14ac:dyDescent="0.25">
      <c r="A6">
        <v>4</v>
      </c>
      <c r="B6">
        <v>21.55</v>
      </c>
      <c r="D6">
        <v>18.899999999999999</v>
      </c>
      <c r="F6">
        <v>20.5</v>
      </c>
    </row>
    <row r="7" spans="1:6" x14ac:dyDescent="0.25">
      <c r="A7">
        <v>5</v>
      </c>
      <c r="B7">
        <v>21.5</v>
      </c>
      <c r="D7">
        <v>19.2</v>
      </c>
      <c r="F7">
        <v>20.55</v>
      </c>
    </row>
    <row r="9" spans="1:6" x14ac:dyDescent="0.25">
      <c r="A9" t="s">
        <v>21</v>
      </c>
      <c r="B9" s="21">
        <f>AVERAGE(B3:B7)</f>
        <v>21.490000000000002</v>
      </c>
      <c r="D9" s="21">
        <f>AVERAGE(D3:D7)</f>
        <v>19.100000000000001</v>
      </c>
      <c r="F9" s="21">
        <f>AVERAGE(F3:F7)</f>
        <v>20.61</v>
      </c>
    </row>
    <row r="11" spans="1:6" x14ac:dyDescent="0.25">
      <c r="A11" t="s">
        <v>20</v>
      </c>
      <c r="B11">
        <v>19.2</v>
      </c>
      <c r="D11">
        <v>17.28</v>
      </c>
      <c r="F11">
        <v>18.432000000000002</v>
      </c>
    </row>
    <row r="13" spans="1:6" x14ac:dyDescent="0.25">
      <c r="A13" t="s">
        <v>22</v>
      </c>
      <c r="B13" s="22">
        <f>B9-B11</f>
        <v>2.2900000000000027</v>
      </c>
      <c r="D13" s="22">
        <f>D9-D11</f>
        <v>1.8200000000000003</v>
      </c>
      <c r="F13" s="22">
        <f>F9-F11</f>
        <v>2.1779999999999973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6"/>
  <sheetViews>
    <sheetView showGridLines="0" tabSelected="1" topLeftCell="B1" zoomScaleNormal="100" workbookViewId="0">
      <pane ySplit="2" topLeftCell="A4" activePane="bottomLeft" state="frozen"/>
      <selection pane="bottomLeft" activeCell="AI7" sqref="AI7:AO7"/>
    </sheetView>
  </sheetViews>
  <sheetFormatPr defaultRowHeight="15" x14ac:dyDescent="0.25"/>
  <cols>
    <col min="1" max="1" width="15.28515625" bestFit="1" customWidth="1"/>
    <col min="2" max="2" width="5" bestFit="1" customWidth="1"/>
    <col min="3" max="3" width="6.85546875" bestFit="1" customWidth="1"/>
    <col min="4" max="4" width="6.5703125" bestFit="1" customWidth="1"/>
    <col min="5" max="5" width="5.5703125" bestFit="1" customWidth="1"/>
    <col min="6" max="6" width="5" bestFit="1" customWidth="1"/>
    <col min="7" max="7" width="5" customWidth="1"/>
    <col min="8" max="8" width="4.7109375" customWidth="1"/>
    <col min="9" max="9" width="11.85546875" customWidth="1"/>
    <col min="10" max="11" width="9.140625" customWidth="1"/>
    <col min="12" max="12" width="10.7109375" customWidth="1"/>
    <col min="13" max="13" width="14.140625" customWidth="1"/>
    <col min="14" max="14" width="6.28515625" customWidth="1"/>
    <col min="15" max="15" width="7" customWidth="1"/>
    <col min="16" max="16" width="6" customWidth="1"/>
    <col min="17" max="17" width="6.5703125" customWidth="1"/>
    <col min="18" max="18" width="7.5703125" bestFit="1" customWidth="1"/>
    <col min="19" max="19" width="5.28515625" hidden="1" customWidth="1"/>
    <col min="20" max="20" width="4" hidden="1" customWidth="1"/>
    <col min="21" max="22" width="6.7109375" hidden="1" customWidth="1"/>
    <col min="23" max="23" width="5.5703125" hidden="1" customWidth="1"/>
    <col min="24" max="25" width="6.5703125" hidden="1" customWidth="1"/>
    <col min="26" max="27" width="6.7109375" hidden="1" customWidth="1"/>
    <col min="28" max="28" width="5.5703125" hidden="1" customWidth="1"/>
    <col min="29" max="29" width="6.5703125" hidden="1" customWidth="1"/>
    <col min="30" max="30" width="7.5703125" hidden="1" customWidth="1"/>
    <col min="31" max="31" width="4.7109375" hidden="1" customWidth="1"/>
    <col min="32" max="32" width="6" hidden="1" customWidth="1"/>
    <col min="33" max="33" width="5.5703125" hidden="1" customWidth="1"/>
    <col min="34" max="34" width="7.5703125" hidden="1" customWidth="1"/>
    <col min="35" max="35" width="5.7109375" customWidth="1"/>
    <col min="36" max="36" width="6" customWidth="1"/>
    <col min="37" max="37" width="5.5703125" customWidth="1"/>
    <col min="38" max="38" width="6.42578125" bestFit="1" customWidth="1"/>
    <col min="39" max="39" width="6.7109375" hidden="1" customWidth="1"/>
    <col min="40" max="40" width="22.140625" hidden="1" customWidth="1"/>
  </cols>
  <sheetData>
    <row r="1" spans="1:41" ht="16.5" thickBot="1" x14ac:dyDescent="0.3">
      <c r="N1" s="11">
        <v>1</v>
      </c>
      <c r="O1" s="64" t="s">
        <v>23</v>
      </c>
      <c r="P1" s="65"/>
      <c r="Q1" s="66"/>
      <c r="R1" s="31"/>
      <c r="S1" s="70" t="s">
        <v>31</v>
      </c>
      <c r="T1" s="71"/>
      <c r="U1" s="11">
        <v>2</v>
      </c>
      <c r="V1" s="64" t="s">
        <v>71</v>
      </c>
      <c r="W1" s="65"/>
      <c r="X1" s="66"/>
      <c r="Y1" s="10"/>
      <c r="Z1" s="11">
        <v>3</v>
      </c>
      <c r="AA1" s="64"/>
      <c r="AB1" s="65"/>
      <c r="AC1" s="66"/>
      <c r="AD1" s="10"/>
      <c r="AE1" s="67" t="s">
        <v>24</v>
      </c>
      <c r="AF1" s="68"/>
      <c r="AG1" s="68"/>
      <c r="AH1" s="69"/>
      <c r="AI1" s="80" t="s">
        <v>9</v>
      </c>
      <c r="AJ1" s="81"/>
      <c r="AK1" s="81"/>
      <c r="AL1" s="82"/>
    </row>
    <row r="2" spans="1:41" ht="45" x14ac:dyDescent="0.25">
      <c r="A2" s="5" t="s">
        <v>10</v>
      </c>
      <c r="B2" s="6" t="s">
        <v>11</v>
      </c>
      <c r="C2" s="6" t="s">
        <v>1</v>
      </c>
      <c r="D2" s="6" t="s">
        <v>0</v>
      </c>
      <c r="E2" s="6" t="s">
        <v>2</v>
      </c>
      <c r="F2" s="6" t="s">
        <v>5</v>
      </c>
      <c r="G2" s="6" t="s">
        <v>76</v>
      </c>
      <c r="H2" s="6" t="s">
        <v>3</v>
      </c>
      <c r="I2" s="9" t="s">
        <v>84</v>
      </c>
      <c r="J2" s="9" t="s">
        <v>4</v>
      </c>
      <c r="K2" s="9" t="s">
        <v>6</v>
      </c>
      <c r="L2" s="6" t="s">
        <v>98</v>
      </c>
      <c r="M2" s="7" t="s">
        <v>99</v>
      </c>
      <c r="N2" s="5" t="s">
        <v>100</v>
      </c>
      <c r="O2" s="6" t="s">
        <v>101</v>
      </c>
      <c r="P2" s="6" t="s">
        <v>6</v>
      </c>
      <c r="Q2" s="6" t="s">
        <v>7</v>
      </c>
      <c r="R2" s="8" t="s">
        <v>8</v>
      </c>
      <c r="S2" s="30" t="s">
        <v>29</v>
      </c>
      <c r="T2" s="33" t="s">
        <v>30</v>
      </c>
      <c r="U2" s="5" t="s">
        <v>14</v>
      </c>
      <c r="V2" s="6" t="s">
        <v>15</v>
      </c>
      <c r="W2" s="6" t="s">
        <v>6</v>
      </c>
      <c r="X2" s="6" t="s">
        <v>7</v>
      </c>
      <c r="Y2" s="8" t="s">
        <v>8</v>
      </c>
      <c r="Z2" s="5" t="s">
        <v>14</v>
      </c>
      <c r="AA2" s="6" t="s">
        <v>15</v>
      </c>
      <c r="AB2" s="6" t="s">
        <v>6</v>
      </c>
      <c r="AC2" s="6" t="s">
        <v>7</v>
      </c>
      <c r="AD2" s="8" t="s">
        <v>8</v>
      </c>
      <c r="AE2" s="5" t="s">
        <v>25</v>
      </c>
      <c r="AF2" s="6" t="s">
        <v>26</v>
      </c>
      <c r="AG2" s="6" t="s">
        <v>27</v>
      </c>
      <c r="AH2" s="8" t="s">
        <v>28</v>
      </c>
      <c r="AI2" s="72" t="s">
        <v>75</v>
      </c>
      <c r="AJ2" s="73"/>
      <c r="AK2" s="73"/>
      <c r="AL2" s="73"/>
      <c r="AM2" s="73"/>
      <c r="AN2" s="73"/>
      <c r="AO2" s="73"/>
    </row>
    <row r="3" spans="1:41" ht="33.6" customHeight="1" x14ac:dyDescent="0.25">
      <c r="A3" s="3" t="s">
        <v>18</v>
      </c>
      <c r="B3" s="24">
        <v>510</v>
      </c>
      <c r="C3" s="1" t="s">
        <v>17</v>
      </c>
      <c r="D3" s="1" t="s">
        <v>74</v>
      </c>
      <c r="E3" s="2">
        <f t="shared" ref="E3:E6" si="0">(LEFT(C3,2)*RIGHT(C3,2))*(B3)/10000000</f>
        <v>0.12239999999999999</v>
      </c>
      <c r="F3" s="3">
        <v>12</v>
      </c>
      <c r="G3" s="3">
        <v>10</v>
      </c>
      <c r="H3" s="3">
        <f t="shared" ref="H3:H11" si="1">G3*F3</f>
        <v>120</v>
      </c>
      <c r="I3" s="63" t="s">
        <v>96</v>
      </c>
      <c r="J3" s="4" t="s">
        <v>97</v>
      </c>
      <c r="K3" s="4">
        <f>60*40*44/100/100/100</f>
        <v>0.1056</v>
      </c>
      <c r="L3" s="14">
        <f t="shared" ref="L3:L11" si="2">$H3*$E3</f>
        <v>14.687999999999999</v>
      </c>
      <c r="M3" s="17">
        <f t="shared" ref="M3:M10" si="3">L3*1.14</f>
        <v>16.744319999999998</v>
      </c>
      <c r="N3" s="25">
        <f>65/K3</f>
        <v>615.530303030303</v>
      </c>
      <c r="O3" s="13">
        <f t="shared" ref="O3:O11" si="4">N3*$H3</f>
        <v>73863.636363636353</v>
      </c>
      <c r="P3" s="14">
        <f>K3*N3</f>
        <v>65</v>
      </c>
      <c r="Q3" s="15">
        <f>O3*$E3</f>
        <v>9040.9090909090901</v>
      </c>
      <c r="R3" s="16">
        <f>N3*$M3</f>
        <v>10306.636363636362</v>
      </c>
      <c r="S3" s="32"/>
      <c r="T3" s="34"/>
      <c r="U3" s="55"/>
      <c r="V3" s="13"/>
      <c r="W3" s="14"/>
      <c r="X3" s="15"/>
      <c r="Y3" s="16"/>
      <c r="Z3" s="12"/>
      <c r="AA3" s="13"/>
      <c r="AB3" s="14"/>
      <c r="AC3" s="15"/>
      <c r="AD3" s="16"/>
      <c r="AE3" s="26"/>
      <c r="AF3" s="27"/>
      <c r="AG3" s="28"/>
      <c r="AH3" s="29"/>
      <c r="AI3" s="74" t="s">
        <v>73</v>
      </c>
      <c r="AJ3" s="75"/>
      <c r="AK3" s="75"/>
      <c r="AL3" s="75"/>
      <c r="AM3" s="75"/>
      <c r="AN3" s="75"/>
      <c r="AO3" s="75"/>
    </row>
    <row r="4" spans="1:41" ht="33.6" customHeight="1" x14ac:dyDescent="0.25">
      <c r="A4" s="3" t="s">
        <v>18</v>
      </c>
      <c r="B4" s="24">
        <v>400</v>
      </c>
      <c r="C4" s="1" t="s">
        <v>17</v>
      </c>
      <c r="D4" s="1" t="s">
        <v>74</v>
      </c>
      <c r="E4" s="2">
        <f t="shared" si="0"/>
        <v>9.6000000000000002E-2</v>
      </c>
      <c r="F4" s="3">
        <v>12</v>
      </c>
      <c r="G4" s="3">
        <v>10</v>
      </c>
      <c r="H4" s="3">
        <f t="shared" si="1"/>
        <v>120</v>
      </c>
      <c r="I4" s="63" t="s">
        <v>93</v>
      </c>
      <c r="J4" s="4" t="s">
        <v>94</v>
      </c>
      <c r="K4" s="4">
        <f>60*40*35/100/100/100</f>
        <v>8.4000000000000005E-2</v>
      </c>
      <c r="L4" s="14">
        <f t="shared" si="2"/>
        <v>11.52</v>
      </c>
      <c r="M4" s="17">
        <f t="shared" si="3"/>
        <v>13.132799999999998</v>
      </c>
      <c r="N4" s="25">
        <f>65/K4</f>
        <v>773.80952380952374</v>
      </c>
      <c r="O4" s="13">
        <f t="shared" si="4"/>
        <v>92857.142857142855</v>
      </c>
      <c r="P4" s="14">
        <f t="shared" ref="P4:P6" si="5">K4*N4</f>
        <v>65</v>
      </c>
      <c r="Q4" s="15">
        <f t="shared" ref="Q3:Q6" si="6">O4*$E4</f>
        <v>8914.2857142857138</v>
      </c>
      <c r="R4" s="16">
        <f t="shared" ref="R3:R6" si="7">N4*$M4</f>
        <v>10162.285714285712</v>
      </c>
      <c r="S4" s="32"/>
      <c r="T4" s="34"/>
      <c r="U4" s="55"/>
      <c r="V4" s="13"/>
      <c r="W4" s="14"/>
      <c r="X4" s="15"/>
      <c r="Y4" s="16"/>
      <c r="Z4" s="12"/>
      <c r="AA4" s="13"/>
      <c r="AB4" s="14"/>
      <c r="AC4" s="15"/>
      <c r="AD4" s="16"/>
      <c r="AE4" s="26"/>
      <c r="AF4" s="27"/>
      <c r="AG4" s="28"/>
      <c r="AH4" s="29"/>
      <c r="AI4" s="74" t="s">
        <v>95</v>
      </c>
      <c r="AJ4" s="75"/>
      <c r="AK4" s="75"/>
      <c r="AL4" s="75"/>
      <c r="AM4" s="75"/>
      <c r="AN4" s="75"/>
      <c r="AO4" s="75"/>
    </row>
    <row r="5" spans="1:41" ht="33.6" customHeight="1" x14ac:dyDescent="0.25">
      <c r="A5" s="3" t="s">
        <v>18</v>
      </c>
      <c r="B5" s="24">
        <v>450</v>
      </c>
      <c r="C5" s="1" t="s">
        <v>87</v>
      </c>
      <c r="D5" s="1" t="s">
        <v>74</v>
      </c>
      <c r="E5" s="2">
        <f>(LEFT(C5,2)*RIGHT(C5,2))*(B5)/10000000</f>
        <v>0.1116</v>
      </c>
      <c r="F5" s="3">
        <v>12</v>
      </c>
      <c r="G5" s="3">
        <v>12</v>
      </c>
      <c r="H5" s="3">
        <f t="shared" si="1"/>
        <v>144</v>
      </c>
      <c r="I5" s="63" t="s">
        <v>88</v>
      </c>
      <c r="J5" s="4" t="s">
        <v>89</v>
      </c>
      <c r="K5" s="4">
        <f>60*40*49/100/100/100</f>
        <v>0.1176</v>
      </c>
      <c r="L5" s="14">
        <f>$H5*$E5</f>
        <v>16.070399999999999</v>
      </c>
      <c r="M5" s="17">
        <f t="shared" si="3"/>
        <v>18.320255999999997</v>
      </c>
      <c r="N5" s="25">
        <f>65/K5</f>
        <v>552.72108843537421</v>
      </c>
      <c r="O5" s="13">
        <f t="shared" si="4"/>
        <v>79591.83673469389</v>
      </c>
      <c r="P5" s="14">
        <f t="shared" si="5"/>
        <v>65</v>
      </c>
      <c r="Q5" s="15">
        <f t="shared" si="6"/>
        <v>8882.448979591838</v>
      </c>
      <c r="R5" s="16">
        <f t="shared" si="7"/>
        <v>10125.991836734693</v>
      </c>
      <c r="S5" s="32"/>
      <c r="T5" s="34"/>
      <c r="U5" s="55"/>
      <c r="V5" s="13"/>
      <c r="W5" s="14"/>
      <c r="X5" s="15"/>
      <c r="Y5" s="16"/>
      <c r="Z5" s="12"/>
      <c r="AA5" s="13"/>
      <c r="AB5" s="14"/>
      <c r="AC5" s="15"/>
      <c r="AD5" s="16"/>
      <c r="AE5" s="26"/>
      <c r="AF5" s="27"/>
      <c r="AG5" s="28"/>
      <c r="AH5" s="29"/>
      <c r="AI5" s="74" t="s">
        <v>92</v>
      </c>
      <c r="AJ5" s="75"/>
      <c r="AK5" s="75"/>
      <c r="AL5" s="75"/>
      <c r="AM5" s="75"/>
      <c r="AN5" s="75"/>
      <c r="AO5" s="75"/>
    </row>
    <row r="6" spans="1:41" ht="33.6" customHeight="1" x14ac:dyDescent="0.25">
      <c r="A6" s="3" t="s">
        <v>18</v>
      </c>
      <c r="B6" s="24">
        <v>550</v>
      </c>
      <c r="C6" s="1" t="s">
        <v>79</v>
      </c>
      <c r="D6" s="1" t="s">
        <v>74</v>
      </c>
      <c r="E6" s="2">
        <f t="shared" si="0"/>
        <v>8.2500000000000004E-2</v>
      </c>
      <c r="F6" s="3">
        <v>10</v>
      </c>
      <c r="G6" s="3">
        <v>20</v>
      </c>
      <c r="H6" s="3">
        <f t="shared" si="1"/>
        <v>200</v>
      </c>
      <c r="I6" s="63" t="s">
        <v>90</v>
      </c>
      <c r="J6" s="4" t="s">
        <v>80</v>
      </c>
      <c r="K6" s="4">
        <f>60*40*50/100/100/100</f>
        <v>0.12</v>
      </c>
      <c r="L6" s="14">
        <f t="shared" si="2"/>
        <v>16.5</v>
      </c>
      <c r="M6" s="17">
        <f t="shared" si="3"/>
        <v>18.809999999999999</v>
      </c>
      <c r="N6" s="25">
        <f>65/K6</f>
        <v>541.66666666666674</v>
      </c>
      <c r="O6" s="13">
        <f t="shared" si="4"/>
        <v>108333.33333333334</v>
      </c>
      <c r="P6" s="14">
        <f>K6*N6</f>
        <v>65</v>
      </c>
      <c r="Q6" s="15">
        <f t="shared" si="6"/>
        <v>8937.5000000000018</v>
      </c>
      <c r="R6" s="16">
        <f t="shared" si="7"/>
        <v>10188.75</v>
      </c>
      <c r="S6" s="32"/>
      <c r="T6" s="34"/>
      <c r="U6" s="55"/>
      <c r="V6" s="13"/>
      <c r="W6" s="14"/>
      <c r="X6" s="15"/>
      <c r="Y6" s="16"/>
      <c r="Z6" s="12"/>
      <c r="AA6" s="13"/>
      <c r="AB6" s="14"/>
      <c r="AC6" s="15"/>
      <c r="AD6" s="16"/>
      <c r="AE6" s="26"/>
      <c r="AF6" s="27"/>
      <c r="AG6" s="28"/>
      <c r="AH6" s="29"/>
      <c r="AI6" s="74" t="s">
        <v>91</v>
      </c>
      <c r="AJ6" s="75"/>
      <c r="AK6" s="75"/>
      <c r="AL6" s="75"/>
      <c r="AM6" s="75"/>
      <c r="AN6" s="75"/>
      <c r="AO6" s="75"/>
    </row>
    <row r="7" spans="1:41" ht="33.6" customHeight="1" x14ac:dyDescent="0.25">
      <c r="A7" s="3" t="s">
        <v>18</v>
      </c>
      <c r="B7" s="24">
        <v>430</v>
      </c>
      <c r="C7" s="1" t="s">
        <v>17</v>
      </c>
      <c r="D7" s="1" t="s">
        <v>74</v>
      </c>
      <c r="E7" s="2">
        <f>(LEFT(C7,2)*RIGHT(C7,2))*(B7)/10000000</f>
        <v>0.1032</v>
      </c>
      <c r="F7" s="3">
        <v>10</v>
      </c>
      <c r="G7" s="3">
        <v>10</v>
      </c>
      <c r="H7" s="3">
        <f t="shared" si="1"/>
        <v>100</v>
      </c>
      <c r="I7" s="63" t="s">
        <v>85</v>
      </c>
      <c r="J7" s="4" t="s">
        <v>86</v>
      </c>
      <c r="K7" s="4">
        <f>60*40*31/100/100/100</f>
        <v>7.4400000000000008E-2</v>
      </c>
      <c r="L7" s="14">
        <f t="shared" si="2"/>
        <v>10.32</v>
      </c>
      <c r="M7" s="17">
        <f t="shared" si="3"/>
        <v>11.764799999999999</v>
      </c>
      <c r="N7" s="25">
        <f>65/K7</f>
        <v>873.65591397849448</v>
      </c>
      <c r="O7" s="13">
        <f t="shared" si="4"/>
        <v>87365.59139784945</v>
      </c>
      <c r="P7" s="14">
        <f>K7*N7</f>
        <v>65</v>
      </c>
      <c r="Q7" s="15">
        <f t="shared" ref="Q7:Q9" si="8">O7*$E7</f>
        <v>9016.1290322580626</v>
      </c>
      <c r="R7" s="16">
        <f t="shared" ref="R7:R9" si="9">N7*$M7</f>
        <v>10278.387096774191</v>
      </c>
      <c r="S7" s="32"/>
      <c r="T7" s="34"/>
      <c r="U7" s="55"/>
      <c r="V7" s="13"/>
      <c r="W7" s="14"/>
      <c r="X7" s="15"/>
      <c r="Y7" s="16"/>
      <c r="Z7" s="12"/>
      <c r="AA7" s="13"/>
      <c r="AB7" s="14"/>
      <c r="AC7" s="15"/>
      <c r="AD7" s="16"/>
      <c r="AE7" s="26"/>
      <c r="AF7" s="27"/>
      <c r="AG7" s="28"/>
      <c r="AH7" s="29"/>
      <c r="AI7" s="85"/>
      <c r="AJ7" s="86"/>
      <c r="AK7" s="86"/>
      <c r="AL7" s="86"/>
      <c r="AM7" s="86"/>
      <c r="AN7" s="86"/>
      <c r="AO7" s="86"/>
    </row>
    <row r="8" spans="1:41" ht="33.6" customHeight="1" x14ac:dyDescent="0.25">
      <c r="A8" s="3" t="s">
        <v>18</v>
      </c>
      <c r="B8" s="24">
        <v>528</v>
      </c>
      <c r="C8" s="1" t="s">
        <v>17</v>
      </c>
      <c r="D8" s="1" t="s">
        <v>74</v>
      </c>
      <c r="E8" s="2">
        <f>(LEFT(C8,2)*RIGHT(C8,2))*(B8)/10000000</f>
        <v>0.12672</v>
      </c>
      <c r="F8" s="3">
        <v>12</v>
      </c>
      <c r="G8" s="3">
        <v>2</v>
      </c>
      <c r="H8" s="3">
        <f t="shared" si="1"/>
        <v>24</v>
      </c>
      <c r="I8" s="63"/>
      <c r="J8" s="4" t="s">
        <v>83</v>
      </c>
      <c r="K8" s="4">
        <f>51*31*21/100/100/100</f>
        <v>3.3201000000000001E-2</v>
      </c>
      <c r="L8" s="14">
        <f t="shared" si="2"/>
        <v>3.04128</v>
      </c>
      <c r="M8" s="17">
        <f t="shared" si="3"/>
        <v>3.4670591999999996</v>
      </c>
      <c r="N8" s="25">
        <f>65/K8</f>
        <v>1957.7723562543297</v>
      </c>
      <c r="O8" s="13">
        <f t="shared" si="4"/>
        <v>46986.536550103912</v>
      </c>
      <c r="P8" s="14">
        <f>K8*N8</f>
        <v>65</v>
      </c>
      <c r="Q8" s="15">
        <f t="shared" si="8"/>
        <v>5954.1339116291674</v>
      </c>
      <c r="R8" s="16">
        <f t="shared" si="9"/>
        <v>6787.7126592572504</v>
      </c>
      <c r="S8" s="32"/>
      <c r="T8" s="34"/>
      <c r="U8" s="55"/>
      <c r="V8" s="13"/>
      <c r="W8" s="14"/>
      <c r="X8" s="15"/>
      <c r="Y8" s="16"/>
      <c r="Z8" s="12"/>
      <c r="AA8" s="13"/>
      <c r="AB8" s="14"/>
      <c r="AC8" s="15"/>
      <c r="AD8" s="16"/>
      <c r="AE8" s="26"/>
      <c r="AF8" s="27"/>
      <c r="AG8" s="28"/>
      <c r="AH8" s="29"/>
      <c r="AI8" s="74" t="s">
        <v>82</v>
      </c>
      <c r="AJ8" s="75"/>
      <c r="AK8" s="75"/>
      <c r="AL8" s="75"/>
      <c r="AM8" s="75"/>
      <c r="AN8" s="75"/>
      <c r="AO8" s="75"/>
    </row>
    <row r="9" spans="1:41" ht="33.6" customHeight="1" x14ac:dyDescent="0.25">
      <c r="A9" s="3" t="s">
        <v>18</v>
      </c>
      <c r="B9" s="24">
        <v>500</v>
      </c>
      <c r="C9" s="1" t="s">
        <v>79</v>
      </c>
      <c r="D9" s="1" t="s">
        <v>74</v>
      </c>
      <c r="E9" s="2">
        <f>(LEFT(C9,2)*RIGHT(C9,2))*(B9)/10000000</f>
        <v>7.4999999999999997E-2</v>
      </c>
      <c r="F9" s="3">
        <v>216</v>
      </c>
      <c r="G9" s="3">
        <v>1</v>
      </c>
      <c r="H9" s="3">
        <f t="shared" si="1"/>
        <v>216</v>
      </c>
      <c r="I9" s="63"/>
      <c r="J9" s="4" t="s">
        <v>80</v>
      </c>
      <c r="K9" s="4">
        <f>60*40*50/100/100/100</f>
        <v>0.12</v>
      </c>
      <c r="L9" s="14">
        <f t="shared" si="2"/>
        <v>16.2</v>
      </c>
      <c r="M9" s="17">
        <f t="shared" si="3"/>
        <v>18.467999999999996</v>
      </c>
      <c r="N9" s="25">
        <f>65/K9</f>
        <v>541.66666666666674</v>
      </c>
      <c r="O9" s="13">
        <f t="shared" si="4"/>
        <v>117000.00000000001</v>
      </c>
      <c r="P9" s="14">
        <f>K9*N9</f>
        <v>65</v>
      </c>
      <c r="Q9" s="15">
        <f t="shared" si="8"/>
        <v>8775</v>
      </c>
      <c r="R9" s="16">
        <f t="shared" si="9"/>
        <v>10003.5</v>
      </c>
      <c r="S9" s="32"/>
      <c r="T9" s="34"/>
      <c r="U9" s="55"/>
      <c r="V9" s="13"/>
      <c r="W9" s="14"/>
      <c r="X9" s="15"/>
      <c r="Y9" s="16"/>
      <c r="Z9" s="12"/>
      <c r="AA9" s="13"/>
      <c r="AB9" s="14"/>
      <c r="AC9" s="15"/>
      <c r="AD9" s="16"/>
      <c r="AE9" s="26"/>
      <c r="AF9" s="27"/>
      <c r="AG9" s="28"/>
      <c r="AH9" s="29"/>
      <c r="AI9" s="83" t="s">
        <v>81</v>
      </c>
      <c r="AJ9" s="84"/>
      <c r="AK9" s="84"/>
      <c r="AL9" s="84"/>
      <c r="AM9" s="84"/>
      <c r="AN9" s="84"/>
      <c r="AO9" s="84"/>
    </row>
    <row r="10" spans="1:41" ht="33.6" customHeight="1" x14ac:dyDescent="0.25">
      <c r="A10" s="3" t="s">
        <v>18</v>
      </c>
      <c r="B10" s="24">
        <v>500</v>
      </c>
      <c r="C10" s="1" t="s">
        <v>17</v>
      </c>
      <c r="D10" s="1" t="s">
        <v>74</v>
      </c>
      <c r="E10" s="2">
        <f>(LEFT(C10,2)*RIGHT(C10,2))*(B10)/10000000</f>
        <v>0.12</v>
      </c>
      <c r="F10" s="3">
        <v>12</v>
      </c>
      <c r="G10" s="3">
        <v>10</v>
      </c>
      <c r="H10" s="3">
        <f t="shared" si="1"/>
        <v>120</v>
      </c>
      <c r="I10" s="63"/>
      <c r="J10" s="4" t="s">
        <v>77</v>
      </c>
      <c r="K10" s="4">
        <f>60*50*36/100/100/100</f>
        <v>0.10800000000000001</v>
      </c>
      <c r="L10" s="14">
        <f t="shared" si="2"/>
        <v>14.399999999999999</v>
      </c>
      <c r="M10" s="17">
        <f t="shared" si="3"/>
        <v>16.415999999999997</v>
      </c>
      <c r="N10" s="25">
        <f>65/K10</f>
        <v>601.85185185185173</v>
      </c>
      <c r="O10" s="13">
        <f t="shared" si="4"/>
        <v>72222.222222222204</v>
      </c>
      <c r="P10" s="14">
        <f t="shared" ref="P10:P11" si="10">K10*N10</f>
        <v>65</v>
      </c>
      <c r="Q10" s="15">
        <f>O10*$E10</f>
        <v>8666.6666666666642</v>
      </c>
      <c r="R10" s="16">
        <f>N10*$M10</f>
        <v>9879.9999999999964</v>
      </c>
      <c r="S10" s="32"/>
      <c r="T10" s="34"/>
      <c r="U10" s="55"/>
      <c r="V10" s="13"/>
      <c r="W10" s="14"/>
      <c r="X10" s="15"/>
      <c r="Y10" s="16"/>
      <c r="Z10" s="12"/>
      <c r="AA10" s="13"/>
      <c r="AB10" s="14"/>
      <c r="AC10" s="15"/>
      <c r="AD10" s="16"/>
      <c r="AE10" s="26"/>
      <c r="AF10" s="27"/>
      <c r="AG10" s="28"/>
      <c r="AH10" s="29"/>
      <c r="AI10" s="76" t="s">
        <v>78</v>
      </c>
      <c r="AJ10" s="77"/>
      <c r="AK10" s="77"/>
      <c r="AL10" s="77"/>
      <c r="AM10" s="77"/>
      <c r="AN10" s="77"/>
      <c r="AO10" s="77"/>
    </row>
    <row r="11" spans="1:41" ht="33.6" customHeight="1" thickBot="1" x14ac:dyDescent="0.3">
      <c r="A11" s="3" t="s">
        <v>18</v>
      </c>
      <c r="B11" s="24">
        <v>360</v>
      </c>
      <c r="C11" s="1" t="s">
        <v>17</v>
      </c>
      <c r="D11" s="1" t="s">
        <v>12</v>
      </c>
      <c r="E11" s="2">
        <f>(LEFT(C11,2)*RIGHT(C11,2))*(B11)/10000000</f>
        <v>8.6400000000000005E-2</v>
      </c>
      <c r="F11" s="3">
        <v>12</v>
      </c>
      <c r="G11" s="3">
        <v>16</v>
      </c>
      <c r="H11" s="3">
        <f t="shared" si="1"/>
        <v>192</v>
      </c>
      <c r="I11" s="63"/>
      <c r="J11" s="4" t="s">
        <v>72</v>
      </c>
      <c r="K11" s="4">
        <f>62*42*47/100/100/100</f>
        <v>0.12238800000000001</v>
      </c>
      <c r="L11" s="14">
        <f t="shared" si="2"/>
        <v>16.588799999999999</v>
      </c>
      <c r="M11" s="17">
        <f t="shared" ref="M11" si="11">L11*1.14</f>
        <v>18.911231999999998</v>
      </c>
      <c r="N11" s="25">
        <f>65/K11</f>
        <v>531.09782004771705</v>
      </c>
      <c r="O11" s="13">
        <f t="shared" si="4"/>
        <v>101970.78144916167</v>
      </c>
      <c r="P11" s="14">
        <f t="shared" si="10"/>
        <v>65</v>
      </c>
      <c r="Q11" s="15">
        <f>O11*$E11</f>
        <v>8810.2755172075686</v>
      </c>
      <c r="R11" s="16">
        <f>N11*$M11</f>
        <v>10043.714089616627</v>
      </c>
      <c r="S11" s="35">
        <f>+T10+1</f>
        <v>1</v>
      </c>
      <c r="T11" s="36">
        <f>+S11+N11-1</f>
        <v>531.09782004771705</v>
      </c>
      <c r="U11" s="35"/>
      <c r="V11" s="13">
        <f>U11*$H11</f>
        <v>0</v>
      </c>
      <c r="W11" s="14" t="e">
        <f>IF(#REF!&lt;&gt;0,#REF!/#REF!*U11,"")</f>
        <v>#REF!</v>
      </c>
      <c r="X11" s="15">
        <f>V11*$E11</f>
        <v>0</v>
      </c>
      <c r="Y11" s="16">
        <f>U11*$M11</f>
        <v>0</v>
      </c>
      <c r="Z11" s="12"/>
      <c r="AA11" s="13">
        <f>Z11*$H11</f>
        <v>0</v>
      </c>
      <c r="AB11" s="14" t="e">
        <f>IF(#REF!&lt;&gt;0,#REF!/#REF!*Z11,"")</f>
        <v>#REF!</v>
      </c>
      <c r="AC11" s="15">
        <f>AA11*$E11</f>
        <v>0</v>
      </c>
      <c r="AD11" s="16">
        <f>Z11*$M11</f>
        <v>0</v>
      </c>
      <c r="AE11" s="26">
        <f>N11</f>
        <v>531.09782004771705</v>
      </c>
      <c r="AF11" s="27">
        <f>AE11*$H11</f>
        <v>101970.78144916167</v>
      </c>
      <c r="AG11" s="28" t="e">
        <f>IF(#REF!&lt;&gt;0,#REF!/#REF!*AE11,"")</f>
        <v>#REF!</v>
      </c>
      <c r="AH11" s="29" t="e">
        <f>AF11/#REF!</f>
        <v>#REF!</v>
      </c>
      <c r="AI11" s="78" t="s">
        <v>73</v>
      </c>
      <c r="AJ11" s="79"/>
      <c r="AK11" s="79"/>
      <c r="AL11" s="79"/>
      <c r="AM11" s="79"/>
      <c r="AN11" s="79"/>
      <c r="AO11" s="79"/>
    </row>
    <row r="12" spans="1:41" x14ac:dyDescent="0.25">
      <c r="V12" s="19"/>
      <c r="AC12" s="18"/>
      <c r="AL12" s="62"/>
    </row>
    <row r="13" spans="1:41" x14ac:dyDescent="0.25">
      <c r="V13" s="19"/>
    </row>
    <row r="14" spans="1:41" x14ac:dyDescent="0.25">
      <c r="AA14" s="20"/>
      <c r="AC14" s="20"/>
    </row>
    <row r="15" spans="1:41" x14ac:dyDescent="0.25">
      <c r="AC15" s="20"/>
    </row>
    <row r="16" spans="1:41" x14ac:dyDescent="0.25">
      <c r="Z16" s="20"/>
      <c r="AC16" s="23"/>
      <c r="AD16" s="20"/>
      <c r="AE16" s="20"/>
      <c r="AF16" s="20"/>
      <c r="AG16" s="20"/>
      <c r="AH16" s="20"/>
    </row>
  </sheetData>
  <mergeCells count="16">
    <mergeCell ref="AI2:AO2"/>
    <mergeCell ref="AI3:AO3"/>
    <mergeCell ref="AI10:AO10"/>
    <mergeCell ref="AI11:AO11"/>
    <mergeCell ref="AI1:AL1"/>
    <mergeCell ref="AI8:AO8"/>
    <mergeCell ref="AI9:AO9"/>
    <mergeCell ref="AI6:AO6"/>
    <mergeCell ref="AI7:AO7"/>
    <mergeCell ref="AI4:AO4"/>
    <mergeCell ref="AI5:AO5"/>
    <mergeCell ref="V1:X1"/>
    <mergeCell ref="AA1:AC1"/>
    <mergeCell ref="O1:Q1"/>
    <mergeCell ref="AE1:AH1"/>
    <mergeCell ref="S1:T1"/>
  </mergeCells>
  <printOptions horizontalCentered="1"/>
  <pageMargins left="0.25" right="0.25" top="0.75" bottom="0.75" header="0.3" footer="0.3"/>
  <pageSetup paperSize="9" scale="65" orientation="landscape" r:id="rId1"/>
  <headerFooter>
    <oddHeader>&amp;RPage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workbookViewId="0">
      <selection activeCell="D4" sqref="D4"/>
    </sheetView>
  </sheetViews>
  <sheetFormatPr defaultRowHeight="15" x14ac:dyDescent="0.25"/>
  <cols>
    <col min="13" max="13" width="22.140625" bestFit="1" customWidth="1"/>
    <col min="14" max="14" width="5.28515625" bestFit="1" customWidth="1"/>
    <col min="15" max="15" width="12.42578125" bestFit="1" customWidth="1"/>
    <col min="16" max="16" width="8.28515625" bestFit="1" customWidth="1"/>
    <col min="17" max="17" width="13.28515625" bestFit="1" customWidth="1"/>
    <col min="18" max="18" width="10.85546875" bestFit="1" customWidth="1"/>
    <col min="19" max="19" width="17.28515625" bestFit="1" customWidth="1"/>
    <col min="20" max="20" width="10.7109375" bestFit="1" customWidth="1"/>
    <col min="21" max="21" width="15" bestFit="1" customWidth="1"/>
  </cols>
  <sheetData>
    <row r="1" spans="1:22" ht="16.5" thickBot="1" x14ac:dyDescent="0.3">
      <c r="A1" s="37"/>
      <c r="B1" s="38"/>
      <c r="C1" s="87" t="s">
        <v>47</v>
      </c>
      <c r="D1" s="88"/>
      <c r="E1" s="88"/>
      <c r="F1" s="88"/>
      <c r="G1" s="89"/>
      <c r="H1" s="39"/>
      <c r="M1" s="56" t="s">
        <v>48</v>
      </c>
      <c r="N1" s="57" t="s">
        <v>49</v>
      </c>
      <c r="O1" s="58" t="s">
        <v>50</v>
      </c>
      <c r="P1" s="58" t="s">
        <v>51</v>
      </c>
      <c r="Q1" s="58" t="s">
        <v>67</v>
      </c>
      <c r="R1" s="58" t="s">
        <v>52</v>
      </c>
      <c r="S1" s="58" t="s">
        <v>53</v>
      </c>
    </row>
    <row r="2" spans="1:22" ht="15.75" thickBot="1" x14ac:dyDescent="0.3">
      <c r="A2" s="40"/>
      <c r="B2" s="41"/>
      <c r="C2" s="42" t="s">
        <v>33</v>
      </c>
      <c r="D2" s="42" t="s">
        <v>46</v>
      </c>
      <c r="E2" s="41"/>
      <c r="F2" s="41"/>
      <c r="G2" s="41"/>
      <c r="H2" s="43"/>
      <c r="M2" s="59" t="s">
        <v>54</v>
      </c>
      <c r="N2" s="60" t="s">
        <v>55</v>
      </c>
      <c r="O2" s="61">
        <v>217</v>
      </c>
      <c r="P2" s="61">
        <v>200</v>
      </c>
      <c r="Q2" s="61"/>
      <c r="R2" s="61">
        <f>O2-P2-Q2</f>
        <v>17</v>
      </c>
      <c r="S2" s="61"/>
    </row>
    <row r="3" spans="1:22" ht="15.75" thickBot="1" x14ac:dyDescent="0.3">
      <c r="A3" s="40"/>
      <c r="B3" s="41"/>
      <c r="C3" s="44" t="s">
        <v>32</v>
      </c>
      <c r="D3" s="45">
        <f>10368+10656+10560</f>
        <v>31584</v>
      </c>
      <c r="E3" s="42" t="s">
        <v>33</v>
      </c>
      <c r="F3" s="46"/>
      <c r="G3" s="42" t="s">
        <v>46</v>
      </c>
      <c r="H3" s="43"/>
      <c r="M3" s="59" t="s">
        <v>56</v>
      </c>
      <c r="N3" s="60" t="s">
        <v>57</v>
      </c>
      <c r="O3" s="61">
        <v>32549</v>
      </c>
      <c r="P3" s="61">
        <v>32549</v>
      </c>
      <c r="Q3" s="61"/>
      <c r="R3" s="61">
        <f t="shared" ref="R3:R11" si="0">O3-P3-Q3</f>
        <v>0</v>
      </c>
      <c r="S3" s="61">
        <v>0</v>
      </c>
    </row>
    <row r="4" spans="1:22" ht="15.75" thickBot="1" x14ac:dyDescent="0.3">
      <c r="A4" s="40"/>
      <c r="B4" s="41"/>
      <c r="C4" s="47" t="s">
        <v>34</v>
      </c>
      <c r="D4" s="41">
        <v>2592</v>
      </c>
      <c r="E4" s="41" t="s">
        <v>42</v>
      </c>
      <c r="F4" s="41"/>
      <c r="G4" s="41">
        <f>D4</f>
        <v>2592</v>
      </c>
      <c r="H4" s="43"/>
      <c r="M4" s="59" t="s">
        <v>58</v>
      </c>
      <c r="N4" s="60" t="s">
        <v>57</v>
      </c>
      <c r="O4" s="61">
        <v>4435</v>
      </c>
      <c r="P4" s="61">
        <v>4360</v>
      </c>
      <c r="Q4" s="61">
        <v>10</v>
      </c>
      <c r="R4" s="61">
        <f t="shared" si="0"/>
        <v>65</v>
      </c>
      <c r="S4" s="61"/>
    </row>
    <row r="5" spans="1:22" ht="15.75" thickBot="1" x14ac:dyDescent="0.3">
      <c r="A5" s="40"/>
      <c r="B5" s="41"/>
      <c r="C5" s="47" t="s">
        <v>35</v>
      </c>
      <c r="D5" s="41">
        <v>888</v>
      </c>
      <c r="E5" s="41" t="s">
        <v>42</v>
      </c>
      <c r="F5" s="41"/>
      <c r="G5" s="41">
        <f t="shared" ref="G5:G6" si="1">D5</f>
        <v>888</v>
      </c>
      <c r="H5" s="43"/>
      <c r="M5" s="59" t="s">
        <v>59</v>
      </c>
      <c r="N5" s="60" t="s">
        <v>57</v>
      </c>
      <c r="O5" s="61">
        <v>1061</v>
      </c>
      <c r="P5" s="61">
        <v>1054</v>
      </c>
      <c r="Q5" s="61">
        <v>7</v>
      </c>
      <c r="R5" s="61">
        <f t="shared" si="0"/>
        <v>0</v>
      </c>
      <c r="S5" s="61"/>
    </row>
    <row r="6" spans="1:22" ht="15.75" thickBot="1" x14ac:dyDescent="0.3">
      <c r="A6" s="40"/>
      <c r="B6" s="41"/>
      <c r="C6" s="47" t="s">
        <v>36</v>
      </c>
      <c r="D6" s="41">
        <v>880</v>
      </c>
      <c r="E6" s="41" t="s">
        <v>42</v>
      </c>
      <c r="F6" s="41"/>
      <c r="G6" s="41">
        <f t="shared" si="1"/>
        <v>880</v>
      </c>
      <c r="H6" s="43"/>
      <c r="M6" s="59" t="s">
        <v>60</v>
      </c>
      <c r="N6" s="60" t="s">
        <v>57</v>
      </c>
      <c r="O6" s="61">
        <v>329</v>
      </c>
      <c r="P6" s="61">
        <v>324</v>
      </c>
      <c r="Q6" s="61">
        <v>1</v>
      </c>
      <c r="R6" s="61">
        <f t="shared" si="0"/>
        <v>4</v>
      </c>
      <c r="S6" s="61"/>
    </row>
    <row r="7" spans="1:22" ht="15.75" thickBot="1" x14ac:dyDescent="0.3">
      <c r="A7" s="40"/>
      <c r="B7" s="41"/>
      <c r="C7" s="44" t="s">
        <v>37</v>
      </c>
      <c r="D7" s="48">
        <v>4360</v>
      </c>
      <c r="E7" s="48" t="s">
        <v>43</v>
      </c>
      <c r="F7" s="48"/>
      <c r="G7" s="48">
        <f>SUM(G4:G6)</f>
        <v>4360</v>
      </c>
      <c r="H7" s="43"/>
      <c r="M7" s="59" t="s">
        <v>61</v>
      </c>
      <c r="N7" s="60" t="s">
        <v>57</v>
      </c>
      <c r="O7" s="61">
        <f>146+4</f>
        <v>150</v>
      </c>
      <c r="P7" s="61">
        <v>148</v>
      </c>
      <c r="Q7" s="61"/>
      <c r="R7" s="61">
        <f t="shared" si="0"/>
        <v>2</v>
      </c>
      <c r="S7" s="61"/>
      <c r="U7" t="s">
        <v>70</v>
      </c>
    </row>
    <row r="8" spans="1:22" ht="15.75" thickBot="1" x14ac:dyDescent="0.3">
      <c r="A8" s="40"/>
      <c r="B8" s="41"/>
      <c r="C8" s="47" t="s">
        <v>39</v>
      </c>
      <c r="D8" s="49">
        <v>324</v>
      </c>
      <c r="E8" s="41" t="s">
        <v>44</v>
      </c>
      <c r="F8" s="41"/>
      <c r="G8" s="41">
        <f>D8*2</f>
        <v>648</v>
      </c>
      <c r="H8" s="43"/>
      <c r="M8" s="59" t="s">
        <v>62</v>
      </c>
      <c r="N8" s="60" t="s">
        <v>57</v>
      </c>
      <c r="O8" s="61">
        <v>55</v>
      </c>
      <c r="P8" s="61">
        <v>55</v>
      </c>
      <c r="Q8" s="61"/>
      <c r="R8" s="61">
        <f t="shared" si="0"/>
        <v>0</v>
      </c>
      <c r="S8" s="61"/>
      <c r="T8" t="s">
        <v>68</v>
      </c>
      <c r="U8" t="s">
        <v>69</v>
      </c>
    </row>
    <row r="9" spans="1:22" ht="15.75" thickBot="1" x14ac:dyDescent="0.3">
      <c r="A9" s="40"/>
      <c r="B9" s="41"/>
      <c r="C9" s="47" t="s">
        <v>40</v>
      </c>
      <c r="D9" s="49">
        <v>148</v>
      </c>
      <c r="E9" s="41" t="s">
        <v>44</v>
      </c>
      <c r="F9" s="41"/>
      <c r="G9" s="41">
        <f>D9*2</f>
        <v>296</v>
      </c>
      <c r="H9" s="43"/>
      <c r="M9" s="59" t="s">
        <v>63</v>
      </c>
      <c r="N9" s="60" t="s">
        <v>64</v>
      </c>
      <c r="O9" s="61">
        <v>94.2</v>
      </c>
      <c r="P9" s="61">
        <v>71.3</v>
      </c>
      <c r="Q9" s="61"/>
      <c r="R9" s="61">
        <f t="shared" si="0"/>
        <v>22.900000000000006</v>
      </c>
      <c r="S9" s="60"/>
      <c r="T9">
        <v>13.25</v>
      </c>
      <c r="U9">
        <v>2.5999999999999999E-2</v>
      </c>
      <c r="V9">
        <f>+D4*U9</f>
        <v>67.391999999999996</v>
      </c>
    </row>
    <row r="10" spans="1:22" ht="15.75" thickBot="1" x14ac:dyDescent="0.3">
      <c r="A10" s="40"/>
      <c r="B10" s="41"/>
      <c r="C10" s="47" t="s">
        <v>41</v>
      </c>
      <c r="D10" s="49">
        <v>55</v>
      </c>
      <c r="E10" s="41" t="s">
        <v>44</v>
      </c>
      <c r="F10" s="41"/>
      <c r="G10" s="41">
        <f>D10*2</f>
        <v>110</v>
      </c>
      <c r="H10" s="43"/>
      <c r="M10" s="59" t="s">
        <v>65</v>
      </c>
      <c r="N10" s="60" t="s">
        <v>64</v>
      </c>
      <c r="O10" s="61">
        <v>60</v>
      </c>
      <c r="P10" s="61">
        <v>29.32</v>
      </c>
      <c r="Q10" s="61"/>
      <c r="R10" s="61">
        <f t="shared" si="0"/>
        <v>30.68</v>
      </c>
      <c r="S10" s="60"/>
      <c r="T10">
        <v>53.35</v>
      </c>
      <c r="U10" s="22">
        <v>0.03</v>
      </c>
      <c r="V10">
        <f>+D5*U10</f>
        <v>26.64</v>
      </c>
    </row>
    <row r="11" spans="1:22" ht="15.75" thickBot="1" x14ac:dyDescent="0.3">
      <c r="A11" s="50"/>
      <c r="B11" s="51"/>
      <c r="C11" s="52" t="s">
        <v>38</v>
      </c>
      <c r="D11" s="53">
        <v>527</v>
      </c>
      <c r="E11" s="53" t="s">
        <v>45</v>
      </c>
      <c r="F11" s="53"/>
      <c r="G11" s="53">
        <f>SUM(G8:G10)</f>
        <v>1054</v>
      </c>
      <c r="H11" s="54"/>
      <c r="M11" s="59" t="s">
        <v>66</v>
      </c>
      <c r="N11" s="60" t="s">
        <v>64</v>
      </c>
      <c r="O11" s="61">
        <v>49</v>
      </c>
      <c r="P11" s="61">
        <v>17.579999999999998</v>
      </c>
      <c r="Q11" s="61"/>
      <c r="R11" s="61">
        <f t="shared" si="0"/>
        <v>31.42</v>
      </c>
      <c r="S11" s="60"/>
      <c r="T11">
        <v>44.15</v>
      </c>
      <c r="U11">
        <v>1.7999999999999999E-2</v>
      </c>
      <c r="V11">
        <f>+D6*U11</f>
        <v>15.839999999999998</v>
      </c>
    </row>
  </sheetData>
  <mergeCells count="1">
    <mergeCell ref="C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Shipment ADV</vt:lpstr>
      <vt:lpstr>Used Accessory Detail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Zaheer</dc:creator>
  <cp:lastModifiedBy>Arif</cp:lastModifiedBy>
  <cp:lastPrinted>2022-08-04T13:03:45Z</cp:lastPrinted>
  <dcterms:created xsi:type="dcterms:W3CDTF">2015-06-05T18:17:20Z</dcterms:created>
  <dcterms:modified xsi:type="dcterms:W3CDTF">2024-01-30T14:55:35Z</dcterms:modified>
</cp:coreProperties>
</file>